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johnvise/Desktop/Telluride/"/>
    </mc:Choice>
  </mc:AlternateContent>
  <xr:revisionPtr revIDLastSave="0" documentId="13_ncr:1_{2A7C0018-C16C-3A41-86F8-84F5F9806F17}" xr6:coauthVersionLast="47" xr6:coauthVersionMax="47" xr10:uidLastSave="{00000000-0000-0000-0000-000000000000}"/>
  <bookViews>
    <workbookView xWindow="0" yWindow="500" windowWidth="29040" windowHeight="15840" xr2:uid="{00000000-000D-0000-FFFF-FFFF00000000}"/>
  </bookViews>
  <sheets>
    <sheet name="Budget to Actual" sheetId="1" r:id="rId1"/>
    <sheet name="2025 Maintenance Budget " sheetId="2" r:id="rId2"/>
  </sheets>
  <definedNames>
    <definedName name="_xlnm.Print_Area" localSheetId="0">'Budget to Actual'!$A$1:$H$85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8" i="1" l="1"/>
  <c r="B60" i="1"/>
  <c r="B30" i="1"/>
  <c r="B48" i="1"/>
  <c r="B78" i="1"/>
  <c r="B36" i="1"/>
  <c r="B35" i="1"/>
  <c r="B37" i="1"/>
  <c r="B59" i="1"/>
  <c r="B67" i="1"/>
  <c r="B66" i="1"/>
  <c r="B65" i="1"/>
  <c r="B64" i="1"/>
  <c r="B49" i="1" l="1"/>
  <c r="B38" i="1"/>
  <c r="D13" i="1"/>
  <c r="F77" i="1"/>
  <c r="F78" i="1" s="1"/>
  <c r="F60" i="1"/>
  <c r="F59" i="1"/>
  <c r="F47" i="1"/>
  <c r="F46" i="1"/>
  <c r="F45" i="1"/>
  <c r="F44" i="1"/>
  <c r="F41" i="1"/>
  <c r="F40" i="1"/>
  <c r="F42" i="1" s="1"/>
  <c r="F36" i="1"/>
  <c r="F35" i="1"/>
  <c r="F37" i="1"/>
  <c r="F29" i="1"/>
  <c r="F28" i="1"/>
  <c r="F27" i="1"/>
  <c r="F26" i="1"/>
  <c r="F25" i="1"/>
  <c r="F24" i="1"/>
  <c r="F23" i="1"/>
  <c r="D12" i="1"/>
  <c r="F13" i="1"/>
  <c r="F12" i="1"/>
  <c r="H12" i="1" s="1"/>
  <c r="F11" i="1"/>
  <c r="F10" i="1"/>
  <c r="F9" i="1"/>
  <c r="F8" i="1"/>
  <c r="F7" i="1"/>
  <c r="B68" i="1"/>
  <c r="B61" i="1"/>
  <c r="B42" i="1"/>
  <c r="G42" i="1"/>
  <c r="B18" i="1"/>
  <c r="B19" i="1" s="1"/>
  <c r="B14" i="1"/>
  <c r="G9" i="1"/>
  <c r="G18" i="1"/>
  <c r="G19" i="1" s="1"/>
  <c r="G77" i="1"/>
  <c r="G76" i="1"/>
  <c r="G75" i="1"/>
  <c r="G65" i="1"/>
  <c r="G68" i="1" s="1"/>
  <c r="G60" i="1"/>
  <c r="G58" i="1"/>
  <c r="G57" i="1"/>
  <c r="G56" i="1"/>
  <c r="G55" i="1"/>
  <c r="G54" i="1"/>
  <c r="G53" i="1"/>
  <c r="G47" i="1"/>
  <c r="G46" i="1"/>
  <c r="G45" i="1"/>
  <c r="G44" i="1"/>
  <c r="G37" i="1"/>
  <c r="G38" i="1" s="1"/>
  <c r="G29" i="1"/>
  <c r="G26" i="1"/>
  <c r="G25" i="1"/>
  <c r="G24" i="1"/>
  <c r="G23" i="1"/>
  <c r="G22" i="1"/>
  <c r="G11" i="1"/>
  <c r="G10" i="1"/>
  <c r="G8" i="1"/>
  <c r="D8" i="1" s="1"/>
  <c r="G7" i="1"/>
  <c r="D7" i="1" s="1"/>
  <c r="C61" i="1" l="1"/>
  <c r="B92" i="1" s="1"/>
  <c r="C92" i="1" s="1"/>
  <c r="C60" i="1"/>
  <c r="C19" i="1"/>
  <c r="B89" i="1" s="1"/>
  <c r="C89" i="1" s="1"/>
  <c r="C42" i="1"/>
  <c r="C48" i="1"/>
  <c r="C78" i="1"/>
  <c r="B94" i="1" s="1"/>
  <c r="C94" i="1" s="1"/>
  <c r="C38" i="1"/>
  <c r="C30" i="1"/>
  <c r="B90" i="1" s="1"/>
  <c r="C90" i="1" s="1"/>
  <c r="H10" i="1"/>
  <c r="F68" i="1"/>
  <c r="H68" i="1" s="1"/>
  <c r="C68" i="1"/>
  <c r="B93" i="1" s="1"/>
  <c r="C93" i="1" s="1"/>
  <c r="C59" i="1"/>
  <c r="C82" i="1"/>
  <c r="B95" i="1" s="1"/>
  <c r="C83" i="1"/>
  <c r="H60" i="1"/>
  <c r="D38" i="1"/>
  <c r="F48" i="1"/>
  <c r="F61" i="1"/>
  <c r="H8" i="1"/>
  <c r="H7" i="1"/>
  <c r="F30" i="1"/>
  <c r="D10" i="1"/>
  <c r="D60" i="1"/>
  <c r="D68" i="1"/>
  <c r="D19" i="1"/>
  <c r="H9" i="1"/>
  <c r="F83" i="1"/>
  <c r="H83" i="1" s="1"/>
  <c r="D83" i="1"/>
  <c r="F34" i="1"/>
  <c r="F38" i="1" s="1"/>
  <c r="D9" i="1"/>
  <c r="F14" i="1"/>
  <c r="C7" i="1"/>
  <c r="F18" i="1"/>
  <c r="F19" i="1" s="1"/>
  <c r="H19" i="1" s="1"/>
  <c r="C12" i="1"/>
  <c r="C9" i="1"/>
  <c r="C13" i="1"/>
  <c r="C11" i="1"/>
  <c r="C8" i="1"/>
  <c r="C10" i="1"/>
  <c r="G14" i="1"/>
  <c r="G30" i="1"/>
  <c r="G78" i="1"/>
  <c r="D78" i="1" s="1"/>
  <c r="G59" i="1"/>
  <c r="G48" i="1"/>
  <c r="C95" i="1" l="1"/>
  <c r="B70" i="1"/>
  <c r="C70" i="1" s="1"/>
  <c r="C49" i="1"/>
  <c r="B91" i="1" s="1"/>
  <c r="C91" i="1" s="1"/>
  <c r="H38" i="1"/>
  <c r="F49" i="1"/>
  <c r="G49" i="1"/>
  <c r="D48" i="1"/>
  <c r="H48" i="1"/>
  <c r="G61" i="1"/>
  <c r="H59" i="1"/>
  <c r="D59" i="1"/>
  <c r="H78" i="1"/>
  <c r="D92" i="1"/>
  <c r="D90" i="1"/>
  <c r="D94" i="1"/>
  <c r="D30" i="1"/>
  <c r="H30" i="1"/>
  <c r="D14" i="1"/>
  <c r="H14" i="1"/>
  <c r="C14" i="1"/>
  <c r="F70" i="1" l="1"/>
  <c r="H70" i="1" s="1"/>
  <c r="B71" i="1"/>
  <c r="B80" i="1" s="1"/>
  <c r="B85" i="1" s="1"/>
  <c r="G70" i="1"/>
  <c r="C96" i="1"/>
  <c r="B96" i="1"/>
  <c r="G71" i="1"/>
  <c r="G80" i="1" s="1"/>
  <c r="G85" i="1" s="1"/>
  <c r="D70" i="1"/>
  <c r="H61" i="1"/>
  <c r="D61" i="1"/>
  <c r="H49" i="1"/>
  <c r="D49" i="1"/>
  <c r="D91" i="1"/>
  <c r="D93" i="1"/>
  <c r="D9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Karabas</author>
  </authors>
  <commentList>
    <comment ref="A77" authorId="0" shapeId="0" xr:uid="{E7D08C9D-98D1-44D0-8D1C-6D047149FD1C}">
      <text>
        <r>
          <rPr>
            <b/>
            <sz val="9"/>
            <color indexed="81"/>
            <rFont val="Tahoma"/>
            <family val="2"/>
          </rPr>
          <t>Nick Karabas:</t>
        </r>
        <r>
          <rPr>
            <sz val="9"/>
            <color indexed="81"/>
            <rFont val="Tahoma"/>
            <family val="2"/>
          </rPr>
          <t xml:space="preserve">
Seal Ashphalt:  $12,000
Bonderized Metal Skirting Buildings 1 &amp; 2:  $8,700
Gutters &amp; Drainage Buildings 3 &amp; 4:  $14,000
TOTAL:  $34,700
Missing:  
Heat Tape Improvement
Xeriscape between Buildings 3 &amp; 4
</t>
        </r>
      </text>
    </comment>
  </commentList>
</comments>
</file>

<file path=xl/sharedStrings.xml><?xml version="1.0" encoding="utf-8"?>
<sst xmlns="http://schemas.openxmlformats.org/spreadsheetml/2006/main" count="98" uniqueCount="98">
  <si>
    <t>Income</t>
  </si>
  <si>
    <t xml:space="preserve">   Interest Earned</t>
  </si>
  <si>
    <t xml:space="preserve">   Late Fee Income</t>
  </si>
  <si>
    <t xml:space="preserve">   Operating Assessment</t>
  </si>
  <si>
    <t xml:space="preserve">   Roof Loan Installments</t>
  </si>
  <si>
    <t xml:space="preserve">   Service/Fee Income</t>
  </si>
  <si>
    <t>Total Income</t>
  </si>
  <si>
    <t>Expenses</t>
  </si>
  <si>
    <t xml:space="preserve">   1000 DEBT PAYMENT</t>
  </si>
  <si>
    <t xml:space="preserve">      Roof Loan Interest (Installment)</t>
  </si>
  <si>
    <t xml:space="preserve">   Total 1000 DEBT PAYMENT</t>
  </si>
  <si>
    <t xml:space="preserve">   2000 OPERATING EXPENSES</t>
  </si>
  <si>
    <t xml:space="preserve">      Bank Service Charges</t>
  </si>
  <si>
    <t xml:space="preserve">      Bookkeeper</t>
  </si>
  <si>
    <t xml:space="preserve">      Copies, Postage, Supplies</t>
  </si>
  <si>
    <t xml:space="preserve">      Fees and Licenses</t>
  </si>
  <si>
    <t xml:space="preserve">      QuickBooks Payments Fees</t>
  </si>
  <si>
    <t xml:space="preserve">   Total 2000 OPERATING EXPENSES</t>
  </si>
  <si>
    <t xml:space="preserve">   3000 SERVICES</t>
  </si>
  <si>
    <t xml:space="preserve">      3100 Groundskeeping</t>
  </si>
  <si>
    <t xml:space="preserve">      Total 3100 Groundskeeping</t>
  </si>
  <si>
    <t xml:space="preserve">      3300 Garbage &amp; Recycling</t>
  </si>
  <si>
    <t xml:space="preserve">         Fuel - Environmental Charge</t>
  </si>
  <si>
    <t xml:space="preserve">         Garbage - Container</t>
  </si>
  <si>
    <t xml:space="preserve">         Recycling - Container</t>
  </si>
  <si>
    <t xml:space="preserve">         Recycling - Totes</t>
  </si>
  <si>
    <t xml:space="preserve">      Total 3300 Garbage &amp; Recycling</t>
  </si>
  <si>
    <t xml:space="preserve">   Total 3000 SERVICES</t>
  </si>
  <si>
    <t xml:space="preserve">   4000 UTILITIES</t>
  </si>
  <si>
    <t xml:space="preserve">      4100 Electric Meters</t>
  </si>
  <si>
    <t xml:space="preserve">         Electric - Common Lights 1501</t>
  </si>
  <si>
    <t xml:space="preserve">         Electric Bldg 1 Heat Cable 43265</t>
  </si>
  <si>
    <t xml:space="preserve">         Electric Bldg 2 Heat Cable 43266</t>
  </si>
  <si>
    <t xml:space="preserve">         Electric Bldg 4 Heat Tape Meters 43267</t>
  </si>
  <si>
    <t xml:space="preserve">         Electric-Building #5 Roof 4001</t>
  </si>
  <si>
    <t xml:space="preserve">      Total 4100 Electric Meters</t>
  </si>
  <si>
    <t xml:space="preserve">      4200 Water &amp; Sewer</t>
  </si>
  <si>
    <t xml:space="preserve">   Total 4000 UTILITIES</t>
  </si>
  <si>
    <t xml:space="preserve">   5000 INSURANCE</t>
  </si>
  <si>
    <t xml:space="preserve">      Liability</t>
  </si>
  <si>
    <t xml:space="preserve">   Total 5000 INSURANCE</t>
  </si>
  <si>
    <t xml:space="preserve">   5000 ROUTINE ANNUAL MAINTENANCE</t>
  </si>
  <si>
    <t xml:space="preserve">      Painting Maintenance</t>
  </si>
  <si>
    <t xml:space="preserve">      Plumbing</t>
  </si>
  <si>
    <t xml:space="preserve">      Repair and Maintenance</t>
  </si>
  <si>
    <t xml:space="preserve">   Total 5000 ROUTINE ANNUAL MAINTENANCE</t>
  </si>
  <si>
    <t>North Star B Condominium Association</t>
  </si>
  <si>
    <t>YTD ACTUAL</t>
  </si>
  <si>
    <t>YTD BUDGET</t>
  </si>
  <si>
    <t>YTD VARIANCE</t>
  </si>
  <si>
    <t>% OF INCOME</t>
  </si>
  <si>
    <t>ANNUAL VARIANCE</t>
  </si>
  <si>
    <t>TOTAL OPERATING EXPENSES:</t>
  </si>
  <si>
    <t>NET OPERATING INCOME BEFORE MAINTENANCE:</t>
  </si>
  <si>
    <t xml:space="preserve">      Consultant Fees</t>
  </si>
  <si>
    <t>NET OPERATING INCOME AFTER MAINTENANCE / BEFORE RESERVE</t>
  </si>
  <si>
    <t>DEFERRED MAINTENANCE RESERVE</t>
  </si>
  <si>
    <t xml:space="preserve">   Finance Charge</t>
  </si>
  <si>
    <t xml:space="preserve">   Special Assessment</t>
  </si>
  <si>
    <t xml:space="preserve">      Tax Prep</t>
  </si>
  <si>
    <t xml:space="preserve">      Legal Fees</t>
  </si>
  <si>
    <t xml:space="preserve">        Gardening Labor</t>
  </si>
  <si>
    <t xml:space="preserve">        Grounds Maintenance</t>
  </si>
  <si>
    <t xml:space="preserve">        Irrigation System Maintenance</t>
  </si>
  <si>
    <t xml:space="preserve">    3200 Snow Removal</t>
  </si>
  <si>
    <t xml:space="preserve">       Snow Removal Driveway</t>
  </si>
  <si>
    <t xml:space="preserve">       Snow Removal Roof</t>
  </si>
  <si>
    <t xml:space="preserve">   Total 3200 Snow Removal</t>
  </si>
  <si>
    <t xml:space="preserve">      D&amp;O</t>
  </si>
  <si>
    <t xml:space="preserve">     Umbrella/Excess</t>
  </si>
  <si>
    <t xml:space="preserve">     Worker's Comp</t>
  </si>
  <si>
    <t>NET OPERATING INCOME AFTER RESERVES</t>
  </si>
  <si>
    <t>INVOICE BREAKDOWN</t>
  </si>
  <si>
    <t xml:space="preserve">   DEBT PAYMENT - ROOF LOAN INSTALLMENT</t>
  </si>
  <si>
    <t xml:space="preserve">   OPERATING EXPENSES</t>
  </si>
  <si>
    <t xml:space="preserve">   SERVICES</t>
  </si>
  <si>
    <t xml:space="preserve">   UTILITIES</t>
  </si>
  <si>
    <t xml:space="preserve">   INSURANCE</t>
  </si>
  <si>
    <t>2025 ANNUAL BUDGET</t>
  </si>
  <si>
    <t xml:space="preserve">         Lawn maintenance - Mowing</t>
  </si>
  <si>
    <t xml:space="preserve">      One Time Special Maintenance </t>
  </si>
  <si>
    <t xml:space="preserve">   DEFERRED MAINTENANCE &amp; RESERVES</t>
  </si>
  <si>
    <t xml:space="preserve">   ANNUAL MAINTENANCE</t>
  </si>
  <si>
    <t>EMERGENCY RESERVE</t>
  </si>
  <si>
    <t xml:space="preserve">         Electric-Underground drains 4002</t>
  </si>
  <si>
    <t xml:space="preserve"> Annual Budget (Approved 11.04.2024)</t>
  </si>
  <si>
    <t>Comments</t>
  </si>
  <si>
    <t>$148.00 increase per month for association dues.</t>
  </si>
  <si>
    <t>Budget will be reduced by $2,448 for the three deed restricted units.  They pay $68 less per month.</t>
  </si>
  <si>
    <t>$2000 Civil Engineer + $5000 Property Manager</t>
  </si>
  <si>
    <t>See 2025 Maintenance Budget Tab</t>
  </si>
  <si>
    <t>Suggested 2025 Maintenance Items:</t>
  </si>
  <si>
    <t>1. Ongoing Drainage / Gutter Maintenance and Repair, $1500.00 (no quote, just budget).</t>
  </si>
  <si>
    <t>2. Ongoing Heat Tape Maintenance and Repair, $5000.00 (no quote, just budget).</t>
  </si>
  <si>
    <t>3. Add, replace, and repair metal siding skirts.  Quote from High Mountain Landscaping &amp; Construction.  Bonderized metal skirting around Buildings 1 and 2.  Remove existing siding and metal skirting.  Installation $8,640.00 plus material.  $5,000.00 for material.</t>
  </si>
  <si>
    <t>4. Seal asphalt.  Quote from SealCo.  SealCo Spectrum Seal.  Deepest Black Color.  Extended Longevity Seal Coat.  Our proprietary, custom blended asphalt sealer supplemented with black aggregates, polymer additives, and dark color enhancers.  Spectrum Seal™ application includes Cleaning of asphalt as needed - up to 2-man hours.  Spot priming of oil spots - if any - up to 2 gallons.  Approximate asphalt area to be restored: 20,882 square feet.  $10,441.00.</t>
  </si>
  <si>
    <t>5. Exterior Painting and replacing Rotten Wood.  Building 1.  Quote from High Mountain Landscaping &amp; Construction.  $32,000.00.  We should consider. hiring painters from a larger city area, like Denver and provide them lodging at a reduced rate or for free.  Several Unit owners have suggested this.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</si>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</sst>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12" x14ac:knownFonts="1">
    <font>
      <sz val="11"/>
      <color indexed="8"/>
      <name val="Calibri"/>
      <family val="2"/>
      <scheme val="minor"/>
    </font>
    <font>
      <b/>
      <sz val="8"/>
      <color indexed="8"/>
      <name val="Arial"/>
      <family val="2"/>
    </font>
    <font>
      <sz val="8"/>
      <color indexed="8"/>
      <name val="Arial"/>
      <family val="2"/>
    </font>
    <font>
      <b/>
      <sz val="14"/>
      <color indexed="8"/>
      <name val="Arial"/>
      <family val="2"/>
    </font>
    <font>
      <b/>
      <sz val="10"/>
      <color indexed="8"/>
      <name val="Arial"/>
      <family val="2"/>
    </font>
    <font>
      <b/>
      <sz val="11"/>
      <color indexed="8"/>
      <name val="Calibri"/>
      <family val="2"/>
      <scheme val="minor"/>
    </font>
    <font>
      <b/>
      <sz val="11"/>
      <color indexed="8"/>
      <name val="Arial"/>
      <family val="2"/>
    </font>
    <font>
      <b/>
      <sz val="10"/>
      <color indexed="8"/>
      <name val="Calibri"/>
      <family val="2"/>
      <scheme val="minor"/>
    </font>
    <font>
      <sz val="11"/>
      <color indexed="8"/>
      <name val="Arial"/>
      <family val="2"/>
    </font>
    <font>
      <sz val="9"/>
      <color indexed="81"/>
      <name val="Tahoma"/>
      <family val="2"/>
    </font>
    <font>
      <b/>
      <sz val="9"/>
      <color indexed="81"/>
      <name val="Tahoma"/>
      <family val="2"/>
    </font>
    <font>
      <sz val="12"/>
      <color indexed="8"/>
      <name val="Aptos"/>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thin">
        <color auto="1"/>
      </top>
      <bottom style="thin">
        <color auto="1"/>
      </bottom>
      <diagonal/>
    </border>
    <border>
      <left/>
      <right/>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left" wrapText="1"/>
    </xf>
    <xf numFmtId="42" fontId="1" fillId="0" borderId="0" xfId="0" applyNumberFormat="1" applyFont="1" applyAlignment="1">
      <alignment horizontal="right" wrapText="1"/>
    </xf>
    <xf numFmtId="42" fontId="1" fillId="0" borderId="0" xfId="0" applyNumberFormat="1" applyFont="1"/>
    <xf numFmtId="42" fontId="2" fillId="0" borderId="0" xfId="0" applyNumberFormat="1" applyFont="1"/>
    <xf numFmtId="0" fontId="2" fillId="0" borderId="0" xfId="0" applyFont="1"/>
    <xf numFmtId="0" fontId="1" fillId="2" borderId="0" xfId="0" applyFont="1" applyFill="1"/>
    <xf numFmtId="0" fontId="2" fillId="2" borderId="0" xfId="0" applyFont="1" applyFill="1"/>
    <xf numFmtId="9" fontId="2" fillId="0" borderId="0" xfId="0" applyNumberFormat="1" applyFont="1"/>
    <xf numFmtId="9" fontId="1" fillId="0" borderId="0" xfId="0" applyNumberFormat="1" applyFont="1"/>
    <xf numFmtId="0" fontId="5" fillId="0" borderId="0" xfId="0" applyFont="1"/>
    <xf numFmtId="42" fontId="2" fillId="0" borderId="1" xfId="0" applyNumberFormat="1" applyFont="1" applyBorder="1"/>
    <xf numFmtId="9" fontId="2" fillId="0" borderId="1" xfId="0" applyNumberFormat="1" applyFont="1" applyBorder="1"/>
    <xf numFmtId="0" fontId="2" fillId="2" borderId="1" xfId="0" applyFont="1" applyFill="1" applyBorder="1"/>
    <xf numFmtId="0" fontId="4" fillId="0" borderId="0" xfId="0" applyFont="1" applyAlignment="1">
      <alignment horizontal="left" wrapText="1"/>
    </xf>
    <xf numFmtId="42" fontId="4" fillId="0" borderId="0" xfId="0" applyNumberFormat="1" applyFont="1"/>
    <xf numFmtId="9" fontId="4" fillId="0" borderId="0" xfId="0" applyNumberFormat="1" applyFont="1"/>
    <xf numFmtId="0" fontId="4" fillId="2" borderId="0" xfId="0" applyFont="1" applyFill="1"/>
    <xf numFmtId="0" fontId="7" fillId="0" borderId="0" xfId="0" applyFont="1"/>
    <xf numFmtId="0" fontId="1" fillId="0" borderId="1" xfId="0" applyFont="1" applyBorder="1" applyAlignment="1">
      <alignment horizontal="left" wrapText="1"/>
    </xf>
    <xf numFmtId="9" fontId="0" fillId="0" borderId="0" xfId="0" applyNumberFormat="1"/>
    <xf numFmtId="0" fontId="1" fillId="0" borderId="3" xfId="0" applyFont="1" applyBorder="1" applyAlignment="1">
      <alignment horizontal="left" wrapText="1"/>
    </xf>
    <xf numFmtId="42" fontId="1" fillId="0" borderId="3" xfId="0" applyNumberFormat="1" applyFont="1" applyBorder="1"/>
    <xf numFmtId="9" fontId="1" fillId="0" borderId="3" xfId="0" applyNumberFormat="1" applyFont="1" applyBorder="1"/>
    <xf numFmtId="0" fontId="1" fillId="2" borderId="3" xfId="0" applyFont="1" applyFill="1" applyBorder="1"/>
    <xf numFmtId="42" fontId="1" fillId="0" borderId="0" xfId="0" applyNumberFormat="1" applyFont="1" applyAlignment="1">
      <alignment horizontal="center" wrapText="1"/>
    </xf>
    <xf numFmtId="0" fontId="6" fillId="0" borderId="0" xfId="0" applyFont="1" applyAlignment="1">
      <alignment horizontal="center" wrapText="1"/>
    </xf>
    <xf numFmtId="9" fontId="1" fillId="0" borderId="0" xfId="0" applyNumberFormat="1" applyFont="1" applyAlignment="1">
      <alignment horizontal="center" wrapText="1"/>
    </xf>
    <xf numFmtId="0" fontId="1" fillId="2" borderId="0" xfId="0" applyFont="1" applyFill="1" applyAlignment="1">
      <alignment horizontal="center" wrapText="1"/>
    </xf>
    <xf numFmtId="42" fontId="1" fillId="3" borderId="1" xfId="0" applyNumberFormat="1" applyFont="1" applyFill="1" applyBorder="1" applyAlignment="1">
      <alignment horizontal="center" wrapText="1"/>
    </xf>
    <xf numFmtId="42" fontId="2" fillId="3" borderId="0" xfId="0" applyNumberFormat="1" applyFont="1" applyFill="1" applyAlignment="1">
      <alignment wrapText="1"/>
    </xf>
    <xf numFmtId="42" fontId="2" fillId="3" borderId="0" xfId="0" applyNumberFormat="1" applyFont="1" applyFill="1" applyAlignment="1">
      <alignment horizontal="right" wrapText="1"/>
    </xf>
    <xf numFmtId="42" fontId="2" fillId="3" borderId="1" xfId="0" applyNumberFormat="1" applyFont="1" applyFill="1" applyBorder="1" applyAlignment="1">
      <alignment horizontal="right" wrapText="1"/>
    </xf>
    <xf numFmtId="42" fontId="4" fillId="3" borderId="0" xfId="0" applyNumberFormat="1" applyFont="1" applyFill="1" applyAlignment="1">
      <alignment horizontal="right" wrapText="1"/>
    </xf>
    <xf numFmtId="42" fontId="1" fillId="3" borderId="0" xfId="0" applyNumberFormat="1" applyFont="1" applyFill="1" applyAlignment="1">
      <alignment horizontal="right" wrapText="1"/>
    </xf>
    <xf numFmtId="42" fontId="1" fillId="3" borderId="1" xfId="0" applyNumberFormat="1" applyFont="1" applyFill="1" applyBorder="1" applyAlignment="1">
      <alignment horizontal="right" wrapText="1"/>
    </xf>
    <xf numFmtId="42" fontId="1" fillId="3" borderId="3" xfId="0" applyNumberFormat="1" applyFont="1" applyFill="1" applyBorder="1" applyAlignment="1">
      <alignment horizontal="right" wrapText="1"/>
    </xf>
    <xf numFmtId="42" fontId="1" fillId="3" borderId="2" xfId="0" applyNumberFormat="1" applyFont="1" applyFill="1" applyBorder="1" applyAlignment="1">
      <alignment horizontal="right" wrapText="1"/>
    </xf>
    <xf numFmtId="42" fontId="2" fillId="3" borderId="0" xfId="0" applyNumberFormat="1" applyFont="1" applyFill="1"/>
    <xf numFmtId="42" fontId="1" fillId="3" borderId="0" xfId="0" applyNumberFormat="1" applyFont="1" applyFill="1"/>
    <xf numFmtId="0" fontId="1" fillId="0" borderId="2" xfId="0" applyFont="1" applyBorder="1" applyAlignment="1">
      <alignment horizontal="left" wrapText="1"/>
    </xf>
    <xf numFmtId="42" fontId="1" fillId="0" borderId="2" xfId="0" applyNumberFormat="1" applyFont="1" applyBorder="1"/>
    <xf numFmtId="9" fontId="1" fillId="0" borderId="2" xfId="0" applyNumberFormat="1" applyFont="1" applyBorder="1"/>
    <xf numFmtId="0" fontId="1" fillId="2" borderId="2" xfId="0" applyFont="1" applyFill="1" applyBorder="1"/>
    <xf numFmtId="42" fontId="2" fillId="0" borderId="2" xfId="0" applyNumberFormat="1" applyFont="1" applyBorder="1"/>
    <xf numFmtId="0" fontId="1" fillId="0" borderId="4" xfId="0" applyFont="1" applyBorder="1" applyAlignment="1">
      <alignment horizontal="left" wrapText="1"/>
    </xf>
    <xf numFmtId="42" fontId="1" fillId="0" borderId="4" xfId="0" applyNumberFormat="1" applyFont="1" applyBorder="1"/>
    <xf numFmtId="9" fontId="2" fillId="0" borderId="4" xfId="0" applyNumberFormat="1" applyFont="1" applyBorder="1"/>
    <xf numFmtId="0" fontId="2" fillId="2" borderId="4" xfId="0" applyFont="1" applyFill="1" applyBorder="1"/>
    <xf numFmtId="42" fontId="2" fillId="0" borderId="4" xfId="0" applyNumberFormat="1" applyFont="1" applyBorder="1"/>
    <xf numFmtId="42" fontId="2" fillId="3" borderId="4" xfId="0" applyNumberFormat="1" applyFont="1" applyFill="1" applyBorder="1" applyAlignment="1">
      <alignment horizontal="right" wrapText="1"/>
    </xf>
    <xf numFmtId="0" fontId="1" fillId="0" borderId="5" xfId="0" applyFont="1" applyBorder="1" applyAlignment="1">
      <alignment horizontal="left" wrapText="1"/>
    </xf>
    <xf numFmtId="42" fontId="1" fillId="0" borderId="5" xfId="0" applyNumberFormat="1" applyFont="1" applyBorder="1"/>
    <xf numFmtId="9" fontId="1" fillId="0" borderId="5" xfId="0" applyNumberFormat="1" applyFont="1" applyBorder="1"/>
    <xf numFmtId="0" fontId="2" fillId="2" borderId="5" xfId="0" applyFont="1" applyFill="1" applyBorder="1"/>
    <xf numFmtId="42" fontId="2" fillId="0" borderId="5" xfId="0" applyNumberFormat="1" applyFont="1" applyBorder="1"/>
    <xf numFmtId="42" fontId="1" fillId="3" borderId="5" xfId="0" applyNumberFormat="1" applyFont="1" applyFill="1" applyBorder="1" applyAlignment="1">
      <alignment horizontal="right" wrapText="1"/>
    </xf>
    <xf numFmtId="0" fontId="6" fillId="0" borderId="0" xfId="0" applyFont="1" applyAlignment="1">
      <alignment horizontal="left" wrapText="1"/>
    </xf>
    <xf numFmtId="42" fontId="6" fillId="0" borderId="0" xfId="0" applyNumberFormat="1" applyFont="1"/>
    <xf numFmtId="9" fontId="6" fillId="0" borderId="0" xfId="0" applyNumberFormat="1" applyFont="1"/>
    <xf numFmtId="0" fontId="8" fillId="2" borderId="0" xfId="0" applyFont="1" applyFill="1"/>
    <xf numFmtId="42" fontId="8" fillId="0" borderId="0" xfId="0" applyNumberFormat="1" applyFont="1"/>
    <xf numFmtId="42" fontId="6" fillId="3" borderId="0" xfId="0" applyNumberFormat="1" applyFont="1" applyFill="1" applyAlignment="1">
      <alignment horizontal="right" wrapText="1"/>
    </xf>
    <xf numFmtId="9" fontId="8" fillId="0" borderId="0" xfId="0" applyNumberFormat="1" applyFont="1"/>
    <xf numFmtId="42" fontId="6" fillId="3" borderId="0" xfId="0" applyNumberFormat="1" applyFont="1" applyFill="1" applyAlignment="1">
      <alignment horizontal="right"/>
    </xf>
    <xf numFmtId="0" fontId="6" fillId="2" borderId="0" xfId="0" applyFont="1" applyFill="1"/>
    <xf numFmtId="42" fontId="6" fillId="3" borderId="0" xfId="0" applyNumberFormat="1" applyFont="1" applyFill="1"/>
    <xf numFmtId="9" fontId="1" fillId="0" borderId="4" xfId="0" applyNumberFormat="1" applyFont="1" applyBorder="1"/>
    <xf numFmtId="44" fontId="0" fillId="0" borderId="0" xfId="0" applyNumberFormat="1"/>
    <xf numFmtId="42" fontId="0" fillId="0" borderId="0" xfId="0" applyNumberForma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wrapText="1"/>
    </xf>
    <xf numFmtId="0" fontId="2" fillId="0" borderId="0" xfId="0" quotePrefix="1" applyFont="1"/>
    <xf numFmtId="0" fontId="11" fillId="0" borderId="0" xfId="0" applyFont="1" applyAlignment="1">
      <alignment horizontal="left" vertical="center" wrapText="1" indent="1"/>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7"/>
  <sheetViews>
    <sheetView tabSelected="1" zoomScale="150" zoomScaleNormal="150" workbookViewId="0">
      <pane ySplit="5" topLeftCell="A6" activePane="bottomLeft" state="frozen"/>
      <selection pane="bottomLeft" activeCell="I74" sqref="I74"/>
    </sheetView>
  </sheetViews>
  <sheetFormatPr baseColWidth="10" defaultColWidth="8.83203125" defaultRowHeight="15" x14ac:dyDescent="0.2"/>
  <cols>
    <col min="1" max="1" width="36.6640625" bestFit="1" customWidth="1"/>
    <col min="2" max="2" width="13.1640625" style="4" customWidth="1"/>
    <col min="3" max="3" width="11.5" style="4" bestFit="1" customWidth="1"/>
    <col min="4" max="4" width="11.33203125" style="8" hidden="1" customWidth="1"/>
    <col min="5" max="5" width="3.5" style="5" hidden="1" customWidth="1"/>
    <col min="6" max="6" width="10.6640625" hidden="1" customWidth="1"/>
    <col min="7" max="7" width="10.33203125" hidden="1" customWidth="1"/>
    <col min="8" max="8" width="11.33203125" style="20" hidden="1" customWidth="1"/>
    <col min="9" max="9" width="37.1640625" customWidth="1"/>
    <col min="10" max="10" width="9.5" bestFit="1" customWidth="1"/>
    <col min="11" max="11" width="10.33203125" bestFit="1" customWidth="1"/>
  </cols>
  <sheetData>
    <row r="1" spans="1:9" ht="18" x14ac:dyDescent="0.2">
      <c r="A1" s="70" t="s">
        <v>46</v>
      </c>
      <c r="B1" s="70"/>
      <c r="C1" s="70"/>
      <c r="D1" s="70"/>
      <c r="E1" s="70"/>
      <c r="F1" s="70"/>
      <c r="G1" s="70"/>
      <c r="H1" s="70"/>
    </row>
    <row r="2" spans="1:9" ht="18" x14ac:dyDescent="0.2">
      <c r="A2" s="70" t="s">
        <v>85</v>
      </c>
      <c r="B2" s="70"/>
      <c r="C2" s="70"/>
      <c r="D2" s="70"/>
      <c r="E2" s="70"/>
      <c r="F2" s="70"/>
      <c r="G2" s="70"/>
      <c r="H2" s="70"/>
    </row>
    <row r="3" spans="1:9" x14ac:dyDescent="0.2">
      <c r="A3" s="71">
        <v>2025</v>
      </c>
      <c r="B3" s="71"/>
      <c r="C3" s="71"/>
      <c r="D3" s="71"/>
      <c r="E3" s="71"/>
      <c r="F3" s="71"/>
      <c r="G3" s="71"/>
      <c r="H3" s="71"/>
    </row>
    <row r="5" spans="1:9" s="26" customFormat="1" ht="24" x14ac:dyDescent="0.15">
      <c r="B5" s="25" t="s">
        <v>78</v>
      </c>
      <c r="C5" s="27" t="s">
        <v>50</v>
      </c>
      <c r="D5" s="27" t="s">
        <v>51</v>
      </c>
      <c r="E5" s="28"/>
      <c r="F5" s="25" t="s">
        <v>48</v>
      </c>
      <c r="G5" s="29" t="s">
        <v>47</v>
      </c>
      <c r="H5" s="27" t="s">
        <v>49</v>
      </c>
      <c r="I5" s="27" t="s">
        <v>86</v>
      </c>
    </row>
    <row r="6" spans="1:9" x14ac:dyDescent="0.2">
      <c r="A6" s="1" t="s">
        <v>0</v>
      </c>
      <c r="C6" s="8"/>
      <c r="E6" s="7"/>
      <c r="F6" s="4"/>
      <c r="G6" s="30"/>
      <c r="H6" s="8"/>
    </row>
    <row r="7" spans="1:9" x14ac:dyDescent="0.2">
      <c r="A7" s="1" t="s">
        <v>1</v>
      </c>
      <c r="B7" s="4">
        <v>0</v>
      </c>
      <c r="C7" s="8">
        <f>+B7/B14</f>
        <v>0</v>
      </c>
      <c r="D7" s="8" t="e">
        <f>+G7/B7</f>
        <v>#DIV/0!</v>
      </c>
      <c r="E7" s="7"/>
      <c r="F7" s="4">
        <f t="shared" ref="F7:F13" si="0">+B7/12*6</f>
        <v>0</v>
      </c>
      <c r="G7" s="31">
        <f>115.67</f>
        <v>115.67</v>
      </c>
      <c r="H7" s="8" t="e">
        <f>+G7/F7</f>
        <v>#DIV/0!</v>
      </c>
    </row>
    <row r="8" spans="1:9" x14ac:dyDescent="0.2">
      <c r="A8" s="1" t="s">
        <v>2</v>
      </c>
      <c r="B8" s="4">
        <v>0</v>
      </c>
      <c r="C8" s="8">
        <f>+B8/B14</f>
        <v>0</v>
      </c>
      <c r="D8" s="8" t="e">
        <f>+G8/B8</f>
        <v>#DIV/0!</v>
      </c>
      <c r="E8" s="7"/>
      <c r="F8" s="4">
        <f t="shared" si="0"/>
        <v>0</v>
      </c>
      <c r="G8" s="31">
        <f>25</f>
        <v>25</v>
      </c>
      <c r="H8" s="8" t="e">
        <f>+G8/F8</f>
        <v>#DIV/0!</v>
      </c>
    </row>
    <row r="9" spans="1:9" x14ac:dyDescent="0.2">
      <c r="A9" s="1" t="s">
        <v>3</v>
      </c>
      <c r="B9" s="4">
        <v>201900</v>
      </c>
      <c r="C9" s="8">
        <f>+B9/B14</f>
        <v>0.89733333333333332</v>
      </c>
      <c r="D9" s="8">
        <f>+G9/B9</f>
        <v>0.38253239227340263</v>
      </c>
      <c r="E9" s="7"/>
      <c r="F9" s="4">
        <f t="shared" si="0"/>
        <v>100950</v>
      </c>
      <c r="G9" s="31">
        <f>77870.29-637</f>
        <v>77233.289999999994</v>
      </c>
      <c r="H9" s="8">
        <f>+G9/F9</f>
        <v>0.76506478454680527</v>
      </c>
      <c r="I9" s="5" t="s">
        <v>87</v>
      </c>
    </row>
    <row r="10" spans="1:9" x14ac:dyDescent="0.2">
      <c r="A10" s="1" t="s">
        <v>4</v>
      </c>
      <c r="B10" s="4">
        <v>23100</v>
      </c>
      <c r="C10" s="8">
        <f>+B10/B14</f>
        <v>0.10266666666666667</v>
      </c>
      <c r="D10" s="8">
        <f>+G10/B10</f>
        <v>0.50163246753246749</v>
      </c>
      <c r="E10" s="7"/>
      <c r="F10" s="4">
        <f t="shared" si="0"/>
        <v>11550</v>
      </c>
      <c r="G10" s="31">
        <f>11587.71</f>
        <v>11587.71</v>
      </c>
      <c r="H10" s="8">
        <f>+G10/F10</f>
        <v>1.003264935064935</v>
      </c>
    </row>
    <row r="11" spans="1:9" x14ac:dyDescent="0.2">
      <c r="A11" s="1" t="s">
        <v>5</v>
      </c>
      <c r="C11" s="8">
        <f>+B11/B18</f>
        <v>0</v>
      </c>
      <c r="D11" s="5"/>
      <c r="E11" s="7"/>
      <c r="F11" s="4">
        <f t="shared" si="0"/>
        <v>0</v>
      </c>
      <c r="G11" s="31">
        <f>150</f>
        <v>150</v>
      </c>
      <c r="H11" s="8"/>
    </row>
    <row r="12" spans="1:9" x14ac:dyDescent="0.2">
      <c r="A12" s="1" t="s">
        <v>57</v>
      </c>
      <c r="B12" s="4">
        <v>0</v>
      </c>
      <c r="C12" s="8">
        <f>+B12/B19</f>
        <v>0</v>
      </c>
      <c r="D12" s="8" t="e">
        <f>+G12/B12</f>
        <v>#DIV/0!</v>
      </c>
      <c r="E12" s="7"/>
      <c r="F12" s="4">
        <f t="shared" si="0"/>
        <v>0</v>
      </c>
      <c r="G12" s="31">
        <v>0</v>
      </c>
      <c r="H12" s="8" t="e">
        <f>+G12/F12</f>
        <v>#DIV/0!</v>
      </c>
    </row>
    <row r="13" spans="1:9" x14ac:dyDescent="0.2">
      <c r="A13" s="1" t="s">
        <v>58</v>
      </c>
      <c r="B13" s="11"/>
      <c r="C13" s="12">
        <f>+B13/B14</f>
        <v>0</v>
      </c>
      <c r="D13" s="12" t="e">
        <f>+G13/B13</f>
        <v>#DIV/0!</v>
      </c>
      <c r="E13" s="13"/>
      <c r="F13" s="11">
        <f t="shared" si="0"/>
        <v>0</v>
      </c>
      <c r="G13" s="32">
        <v>0</v>
      </c>
      <c r="H13" s="12"/>
    </row>
    <row r="14" spans="1:9" s="18" customFormat="1" x14ac:dyDescent="0.2">
      <c r="A14" s="14" t="s">
        <v>6</v>
      </c>
      <c r="B14" s="15">
        <f>SUM(B7:B13)</f>
        <v>225000</v>
      </c>
      <c r="C14" s="16">
        <f>SUM(C7:C13)</f>
        <v>1</v>
      </c>
      <c r="D14" s="16">
        <f>+G14/B14</f>
        <v>0.39605186666666659</v>
      </c>
      <c r="E14" s="17"/>
      <c r="F14" s="15">
        <f>SUM(F7:F13)</f>
        <v>112500</v>
      </c>
      <c r="G14" s="33">
        <f>SUM(G7:G11)</f>
        <v>89111.669999999984</v>
      </c>
      <c r="H14" s="16">
        <f>+G14/F14</f>
        <v>0.79210373333333317</v>
      </c>
    </row>
    <row r="15" spans="1:9" x14ac:dyDescent="0.2">
      <c r="A15" s="1"/>
      <c r="C15" s="8"/>
      <c r="E15" s="7"/>
      <c r="F15" s="4"/>
      <c r="G15" s="34"/>
      <c r="H15" s="8"/>
    </row>
    <row r="16" spans="1:9" x14ac:dyDescent="0.2">
      <c r="A16" s="1" t="s">
        <v>7</v>
      </c>
      <c r="C16" s="8"/>
      <c r="E16" s="7"/>
      <c r="F16" s="4"/>
      <c r="G16" s="30"/>
      <c r="H16" s="8"/>
    </row>
    <row r="17" spans="1:11" x14ac:dyDescent="0.2">
      <c r="A17" s="1" t="s">
        <v>8</v>
      </c>
      <c r="C17" s="8"/>
      <c r="E17" s="7"/>
      <c r="F17" s="4"/>
      <c r="G17" s="30"/>
      <c r="H17" s="8"/>
    </row>
    <row r="18" spans="1:11" x14ac:dyDescent="0.2">
      <c r="A18" s="1" t="s">
        <v>9</v>
      </c>
      <c r="B18" s="11">
        <f>1918.82*12</f>
        <v>23025.84</v>
      </c>
      <c r="C18" s="12"/>
      <c r="D18" s="12"/>
      <c r="E18" s="13"/>
      <c r="F18" s="11">
        <f>+B18/12*6</f>
        <v>11512.92</v>
      </c>
      <c r="G18" s="32">
        <f>1918.82*6</f>
        <v>11512.92</v>
      </c>
      <c r="H18" s="12"/>
      <c r="K18" s="68"/>
    </row>
    <row r="19" spans="1:11" s="10" customFormat="1" x14ac:dyDescent="0.2">
      <c r="A19" s="1" t="s">
        <v>10</v>
      </c>
      <c r="B19" s="3">
        <f>SUM(B18)</f>
        <v>23025.84</v>
      </c>
      <c r="C19" s="9">
        <f>+B19/$B$14</f>
        <v>0.10233706666666667</v>
      </c>
      <c r="D19" s="9">
        <f>+G19/B19</f>
        <v>0.5</v>
      </c>
      <c r="E19" s="6"/>
      <c r="F19" s="3">
        <f>SUM(F18)</f>
        <v>11512.92</v>
      </c>
      <c r="G19" s="34">
        <f>(G17)+(G18)</f>
        <v>11512.92</v>
      </c>
      <c r="H19" s="9">
        <f>+G19/F19</f>
        <v>1</v>
      </c>
    </row>
    <row r="20" spans="1:11" x14ac:dyDescent="0.2">
      <c r="A20" s="1"/>
      <c r="C20" s="8"/>
      <c r="E20" s="7"/>
      <c r="F20" s="4"/>
      <c r="G20" s="34"/>
      <c r="H20" s="8"/>
    </row>
    <row r="21" spans="1:11" x14ac:dyDescent="0.2">
      <c r="A21" s="1" t="s">
        <v>11</v>
      </c>
      <c r="C21" s="8"/>
      <c r="E21" s="7"/>
      <c r="F21" s="4"/>
      <c r="G21" s="30"/>
      <c r="H21" s="8"/>
    </row>
    <row r="22" spans="1:11" x14ac:dyDescent="0.2">
      <c r="A22" s="1" t="s">
        <v>12</v>
      </c>
      <c r="C22" s="8"/>
      <c r="E22" s="7"/>
      <c r="F22" s="4"/>
      <c r="G22" s="31">
        <f>30</f>
        <v>30</v>
      </c>
      <c r="H22" s="8"/>
    </row>
    <row r="23" spans="1:11" x14ac:dyDescent="0.2">
      <c r="A23" s="1" t="s">
        <v>13</v>
      </c>
      <c r="B23" s="4">
        <v>4200</v>
      </c>
      <c r="C23" s="8"/>
      <c r="E23" s="7"/>
      <c r="F23" s="4">
        <f t="shared" ref="F23:F29" si="1">+B23/12*6</f>
        <v>2100</v>
      </c>
      <c r="G23" s="31">
        <f>1800</f>
        <v>1800</v>
      </c>
      <c r="H23" s="8"/>
    </row>
    <row r="24" spans="1:11" x14ac:dyDescent="0.2">
      <c r="A24" s="1" t="s">
        <v>14</v>
      </c>
      <c r="B24" s="4">
        <v>30</v>
      </c>
      <c r="C24" s="8"/>
      <c r="E24" s="7"/>
      <c r="F24" s="4">
        <f t="shared" si="1"/>
        <v>15</v>
      </c>
      <c r="G24" s="31">
        <f>251.98</f>
        <v>251.98</v>
      </c>
      <c r="H24" s="8"/>
    </row>
    <row r="25" spans="1:11" x14ac:dyDescent="0.2">
      <c r="A25" s="1" t="s">
        <v>15</v>
      </c>
      <c r="B25" s="4">
        <v>10</v>
      </c>
      <c r="C25" s="8"/>
      <c r="E25" s="7"/>
      <c r="F25" s="4">
        <f t="shared" si="1"/>
        <v>5</v>
      </c>
      <c r="G25" s="31">
        <f>130</f>
        <v>130</v>
      </c>
      <c r="H25" s="8"/>
    </row>
    <row r="26" spans="1:11" x14ac:dyDescent="0.2">
      <c r="A26" s="1" t="s">
        <v>54</v>
      </c>
      <c r="B26" s="4">
        <v>2000</v>
      </c>
      <c r="C26" s="8"/>
      <c r="E26" s="7"/>
      <c r="F26" s="4">
        <f t="shared" si="1"/>
        <v>1000</v>
      </c>
      <c r="G26" s="31">
        <f>4776.25</f>
        <v>4776.25</v>
      </c>
      <c r="H26" s="8"/>
    </row>
    <row r="27" spans="1:11" x14ac:dyDescent="0.2">
      <c r="A27" s="1" t="s">
        <v>59</v>
      </c>
      <c r="B27" s="4">
        <v>9</v>
      </c>
      <c r="C27" s="8"/>
      <c r="E27" s="7"/>
      <c r="F27" s="4">
        <f t="shared" si="1"/>
        <v>4.5</v>
      </c>
      <c r="G27" s="31">
        <v>0</v>
      </c>
      <c r="H27" s="8"/>
    </row>
    <row r="28" spans="1:11" x14ac:dyDescent="0.2">
      <c r="A28" s="1" t="s">
        <v>60</v>
      </c>
      <c r="B28" s="4">
        <v>0</v>
      </c>
      <c r="C28" s="8"/>
      <c r="E28" s="7"/>
      <c r="F28" s="4">
        <f t="shared" si="1"/>
        <v>0</v>
      </c>
      <c r="G28" s="31">
        <v>0</v>
      </c>
      <c r="H28" s="8"/>
    </row>
    <row r="29" spans="1:11" x14ac:dyDescent="0.2">
      <c r="A29" s="19" t="s">
        <v>16</v>
      </c>
      <c r="B29" s="11">
        <v>500</v>
      </c>
      <c r="C29" s="12"/>
      <c r="D29" s="12"/>
      <c r="E29" s="13"/>
      <c r="F29" s="11">
        <f t="shared" si="1"/>
        <v>250</v>
      </c>
      <c r="G29" s="32">
        <f>248.32</f>
        <v>248.32</v>
      </c>
      <c r="H29" s="12"/>
    </row>
    <row r="30" spans="1:11" s="10" customFormat="1" x14ac:dyDescent="0.2">
      <c r="A30" s="1" t="s">
        <v>17</v>
      </c>
      <c r="B30" s="3">
        <f>SUM(B22:B29)</f>
        <v>6749</v>
      </c>
      <c r="C30" s="9">
        <f>+B30/$B$14</f>
        <v>2.9995555555555557E-2</v>
      </c>
      <c r="D30" s="9">
        <f>+G30/B30</f>
        <v>1.0722403319010223</v>
      </c>
      <c r="E30" s="6"/>
      <c r="F30" s="3">
        <f>SUM(F22:F29)</f>
        <v>3374.5</v>
      </c>
      <c r="G30" s="34">
        <f>((((((G21)+(G22))+(G23))+(G24))+(G25))+(G26))+(G29)</f>
        <v>7236.5499999999993</v>
      </c>
      <c r="H30" s="9">
        <f>+G30/F30</f>
        <v>2.1444806638020446</v>
      </c>
    </row>
    <row r="31" spans="1:11" x14ac:dyDescent="0.2">
      <c r="A31" s="1"/>
      <c r="C31" s="8"/>
      <c r="E31" s="7"/>
      <c r="F31" s="4"/>
      <c r="G31" s="34"/>
      <c r="H31" s="8"/>
    </row>
    <row r="32" spans="1:11" x14ac:dyDescent="0.2">
      <c r="A32" s="1" t="s">
        <v>18</v>
      </c>
      <c r="C32" s="8"/>
      <c r="E32" s="7"/>
      <c r="F32" s="4"/>
      <c r="G32" s="30"/>
      <c r="H32" s="8"/>
    </row>
    <row r="33" spans="1:8" x14ac:dyDescent="0.2">
      <c r="A33" s="1" t="s">
        <v>19</v>
      </c>
      <c r="C33" s="8"/>
      <c r="E33" s="7"/>
      <c r="F33" s="4"/>
      <c r="G33" s="30"/>
      <c r="H33" s="8"/>
    </row>
    <row r="34" spans="1:8" x14ac:dyDescent="0.2">
      <c r="A34" s="1" t="s">
        <v>61</v>
      </c>
      <c r="B34" s="4">
        <v>4000</v>
      </c>
      <c r="C34" s="8"/>
      <c r="E34" s="7"/>
      <c r="F34" s="4">
        <f>+B34/12*6</f>
        <v>2000</v>
      </c>
      <c r="G34" s="30"/>
      <c r="H34" s="8"/>
    </row>
    <row r="35" spans="1:8" x14ac:dyDescent="0.2">
      <c r="A35" s="1" t="s">
        <v>62</v>
      </c>
      <c r="B35" s="4">
        <f>(816+513+295+520)*1.04</f>
        <v>2229.7600000000002</v>
      </c>
      <c r="C35" s="8"/>
      <c r="E35" s="7"/>
      <c r="F35" s="4">
        <f>+B35/12*6</f>
        <v>1114.8800000000001</v>
      </c>
      <c r="G35" s="30"/>
      <c r="H35" s="8"/>
    </row>
    <row r="36" spans="1:8" x14ac:dyDescent="0.2">
      <c r="A36" s="1" t="s">
        <v>63</v>
      </c>
      <c r="B36" s="4">
        <f>(1500+480)*1.04</f>
        <v>2059.2000000000003</v>
      </c>
      <c r="C36" s="8"/>
      <c r="E36" s="7"/>
      <c r="F36" s="4">
        <f>+B36/12*6</f>
        <v>1029.6000000000001</v>
      </c>
      <c r="G36" s="30"/>
      <c r="H36" s="8"/>
    </row>
    <row r="37" spans="1:8" x14ac:dyDescent="0.2">
      <c r="A37" s="19" t="s">
        <v>79</v>
      </c>
      <c r="B37" s="11">
        <f>5122*1.04</f>
        <v>5326.88</v>
      </c>
      <c r="C37" s="12"/>
      <c r="D37" s="12"/>
      <c r="E37" s="13"/>
      <c r="F37" s="11">
        <f>+B37/12*6</f>
        <v>2663.44</v>
      </c>
      <c r="G37" s="32">
        <f>3117.12</f>
        <v>3117.12</v>
      </c>
      <c r="H37" s="12"/>
    </row>
    <row r="38" spans="1:8" s="10" customFormat="1" x14ac:dyDescent="0.2">
      <c r="A38" s="1" t="s">
        <v>20</v>
      </c>
      <c r="B38" s="3">
        <f>SUM(B34:B37)</f>
        <v>13615.84</v>
      </c>
      <c r="C38" s="9">
        <f>+B38/$B$14</f>
        <v>6.0514844444444445E-2</v>
      </c>
      <c r="D38" s="9">
        <f>+G38/B38</f>
        <v>0.22893335996897729</v>
      </c>
      <c r="E38" s="6"/>
      <c r="F38" s="3">
        <f>SUM(F34:F37)</f>
        <v>6807.92</v>
      </c>
      <c r="G38" s="34">
        <f>(G33)+(G37)</f>
        <v>3117.12</v>
      </c>
      <c r="H38" s="9">
        <f>+G38/F38</f>
        <v>0.45786671993795458</v>
      </c>
    </row>
    <row r="39" spans="1:8" x14ac:dyDescent="0.2">
      <c r="A39" s="1" t="s">
        <v>64</v>
      </c>
      <c r="B39" s="3"/>
      <c r="C39" s="8"/>
      <c r="E39" s="7"/>
      <c r="F39" s="4"/>
      <c r="G39" s="34"/>
      <c r="H39" s="8"/>
    </row>
    <row r="40" spans="1:8" x14ac:dyDescent="0.2">
      <c r="A40" s="1" t="s">
        <v>65</v>
      </c>
      <c r="B40" s="4">
        <v>6500</v>
      </c>
      <c r="C40" s="8"/>
      <c r="E40" s="7"/>
      <c r="F40" s="4">
        <f t="shared" ref="F40:F41" si="2">+B40/12*6</f>
        <v>3250</v>
      </c>
      <c r="G40" s="34"/>
      <c r="H40" s="8"/>
    </row>
    <row r="41" spans="1:8" x14ac:dyDescent="0.2">
      <c r="A41" s="19" t="s">
        <v>66</v>
      </c>
      <c r="B41" s="11">
        <v>8000</v>
      </c>
      <c r="C41" s="12"/>
      <c r="D41" s="12"/>
      <c r="E41" s="13"/>
      <c r="F41" s="11">
        <f t="shared" si="2"/>
        <v>4000</v>
      </c>
      <c r="G41" s="35"/>
      <c r="H41" s="12"/>
    </row>
    <row r="42" spans="1:8" s="10" customFormat="1" x14ac:dyDescent="0.2">
      <c r="A42" s="1" t="s">
        <v>67</v>
      </c>
      <c r="B42" s="3">
        <f>SUM(B40:B41)</f>
        <v>14500</v>
      </c>
      <c r="C42" s="9">
        <f>+B42/$B$14</f>
        <v>6.4444444444444443E-2</v>
      </c>
      <c r="D42" s="9"/>
      <c r="E42" s="6"/>
      <c r="F42" s="3">
        <f>SUM(F40:F41)</f>
        <v>7250</v>
      </c>
      <c r="G42" s="34">
        <f>SUM(G40:G41)</f>
        <v>0</v>
      </c>
      <c r="H42" s="9"/>
    </row>
    <row r="43" spans="1:8" x14ac:dyDescent="0.2">
      <c r="A43" s="1" t="s">
        <v>21</v>
      </c>
      <c r="C43" s="8"/>
      <c r="E43" s="7"/>
      <c r="F43" s="4"/>
      <c r="G43" s="30"/>
      <c r="H43" s="8"/>
    </row>
    <row r="44" spans="1:8" x14ac:dyDescent="0.2">
      <c r="A44" s="1" t="s">
        <v>22</v>
      </c>
      <c r="B44" s="4">
        <v>2524</v>
      </c>
      <c r="C44" s="8"/>
      <c r="E44" s="7"/>
      <c r="F44" s="4">
        <f t="shared" ref="F44:F47" si="3">+B44/12*6</f>
        <v>1262</v>
      </c>
      <c r="G44" s="31">
        <f>1487.43</f>
        <v>1487.43</v>
      </c>
      <c r="H44" s="8"/>
    </row>
    <row r="45" spans="1:8" x14ac:dyDescent="0.2">
      <c r="A45" s="1" t="s">
        <v>23</v>
      </c>
      <c r="B45" s="4">
        <v>8250</v>
      </c>
      <c r="C45" s="8"/>
      <c r="E45" s="7"/>
      <c r="F45" s="4">
        <f t="shared" si="3"/>
        <v>4125</v>
      </c>
      <c r="G45" s="31">
        <f>7651.73</f>
        <v>7651.73</v>
      </c>
      <c r="H45" s="8"/>
    </row>
    <row r="46" spans="1:8" x14ac:dyDescent="0.2">
      <c r="A46" s="1" t="s">
        <v>24</v>
      </c>
      <c r="B46" s="4">
        <v>3500</v>
      </c>
      <c r="C46" s="8"/>
      <c r="E46" s="7"/>
      <c r="F46" s="4">
        <f t="shared" si="3"/>
        <v>1750</v>
      </c>
      <c r="G46" s="31">
        <f>938.36</f>
        <v>938.36</v>
      </c>
      <c r="H46" s="8"/>
    </row>
    <row r="47" spans="1:8" x14ac:dyDescent="0.2">
      <c r="A47" s="19" t="s">
        <v>25</v>
      </c>
      <c r="B47" s="11"/>
      <c r="C47" s="12"/>
      <c r="D47" s="12"/>
      <c r="E47" s="13"/>
      <c r="F47" s="11">
        <f t="shared" si="3"/>
        <v>0</v>
      </c>
      <c r="G47" s="32">
        <f>818.82</f>
        <v>818.82</v>
      </c>
      <c r="H47" s="12"/>
    </row>
    <row r="48" spans="1:8" s="10" customFormat="1" ht="16" thickBot="1" x14ac:dyDescent="0.25">
      <c r="A48" s="21" t="s">
        <v>26</v>
      </c>
      <c r="B48" s="22">
        <f>SUM(B44:B47)</f>
        <v>14274</v>
      </c>
      <c r="C48" s="23">
        <f>+B48/$B$14</f>
        <v>6.3439999999999996E-2</v>
      </c>
      <c r="D48" s="23">
        <f>+G48/B48</f>
        <v>0.76336976320582883</v>
      </c>
      <c r="E48" s="24"/>
      <c r="F48" s="22">
        <f>SUM(F44:F47)</f>
        <v>7137</v>
      </c>
      <c r="G48" s="36">
        <f>((((G43)+(G44))+(G45))+(G46))+(G47)</f>
        <v>10896.34</v>
      </c>
      <c r="H48" s="23">
        <f>+G48/F48</f>
        <v>1.5267395264116577</v>
      </c>
    </row>
    <row r="49" spans="1:8" s="10" customFormat="1" x14ac:dyDescent="0.2">
      <c r="A49" s="1" t="s">
        <v>27</v>
      </c>
      <c r="B49" s="3">
        <f>+B48+B42+B38+B30</f>
        <v>49138.84</v>
      </c>
      <c r="C49" s="9">
        <f>+B49/$B$14</f>
        <v>0.21839484444444443</v>
      </c>
      <c r="D49" s="9">
        <f>+G49/B49</f>
        <v>0.28518092816191837</v>
      </c>
      <c r="E49" s="6"/>
      <c r="F49" s="2">
        <f>((F32)+(F38))+(F48)</f>
        <v>13944.92</v>
      </c>
      <c r="G49" s="34">
        <f>((G32)+(G38))+(G48)</f>
        <v>14013.46</v>
      </c>
      <c r="H49" s="9">
        <f>+G49/F49</f>
        <v>1.0049150515026259</v>
      </c>
    </row>
    <row r="50" spans="1:8" x14ac:dyDescent="0.2">
      <c r="A50" s="1"/>
      <c r="C50" s="8"/>
      <c r="E50" s="7"/>
      <c r="F50" s="4"/>
      <c r="G50" s="34"/>
      <c r="H50" s="8"/>
    </row>
    <row r="51" spans="1:8" x14ac:dyDescent="0.2">
      <c r="A51" s="1" t="s">
        <v>28</v>
      </c>
      <c r="C51" s="8"/>
      <c r="E51" s="7"/>
      <c r="F51" s="4"/>
      <c r="G51" s="30"/>
      <c r="H51" s="8"/>
    </row>
    <row r="52" spans="1:8" x14ac:dyDescent="0.2">
      <c r="A52" s="1" t="s">
        <v>29</v>
      </c>
      <c r="C52" s="8"/>
      <c r="E52" s="7"/>
      <c r="F52" s="4"/>
      <c r="G52" s="30"/>
      <c r="H52" s="8"/>
    </row>
    <row r="53" spans="1:8" x14ac:dyDescent="0.2">
      <c r="A53" s="1" t="s">
        <v>30</v>
      </c>
      <c r="C53" s="8"/>
      <c r="E53" s="7"/>
      <c r="F53" s="4"/>
      <c r="G53" s="31">
        <f>2167.95</f>
        <v>2167.9499999999998</v>
      </c>
      <c r="H53" s="8"/>
    </row>
    <row r="54" spans="1:8" x14ac:dyDescent="0.2">
      <c r="A54" s="1" t="s">
        <v>31</v>
      </c>
      <c r="C54" s="8"/>
      <c r="E54" s="7"/>
      <c r="F54" s="4"/>
      <c r="G54" s="31">
        <f>573.8</f>
        <v>573.79999999999995</v>
      </c>
      <c r="H54" s="8"/>
    </row>
    <row r="55" spans="1:8" x14ac:dyDescent="0.2">
      <c r="A55" s="1" t="s">
        <v>32</v>
      </c>
      <c r="C55" s="8"/>
      <c r="E55" s="7"/>
      <c r="F55" s="4"/>
      <c r="G55" s="31">
        <f>374.66</f>
        <v>374.66</v>
      </c>
      <c r="H55" s="8"/>
    </row>
    <row r="56" spans="1:8" x14ac:dyDescent="0.2">
      <c r="A56" s="1" t="s">
        <v>33</v>
      </c>
      <c r="C56" s="8"/>
      <c r="E56" s="7"/>
      <c r="F56" s="4"/>
      <c r="G56" s="31">
        <f>934.95</f>
        <v>934.95</v>
      </c>
      <c r="H56" s="8"/>
    </row>
    <row r="57" spans="1:8" x14ac:dyDescent="0.2">
      <c r="A57" s="1" t="s">
        <v>34</v>
      </c>
      <c r="C57" s="8"/>
      <c r="E57" s="7"/>
      <c r="F57" s="4"/>
      <c r="G57" s="31">
        <f>482.55</f>
        <v>482.55</v>
      </c>
      <c r="H57" s="8"/>
    </row>
    <row r="58" spans="1:8" x14ac:dyDescent="0.2">
      <c r="A58" s="19" t="s">
        <v>84</v>
      </c>
      <c r="B58" s="11"/>
      <c r="C58" s="12"/>
      <c r="D58" s="12"/>
      <c r="E58" s="13"/>
      <c r="F58" s="11"/>
      <c r="G58" s="32">
        <f>534.55</f>
        <v>534.54999999999995</v>
      </c>
      <c r="H58" s="12"/>
    </row>
    <row r="59" spans="1:8" s="10" customFormat="1" x14ac:dyDescent="0.2">
      <c r="A59" s="40" t="s">
        <v>35</v>
      </c>
      <c r="B59" s="41">
        <f>11658*1.04</f>
        <v>12124.32</v>
      </c>
      <c r="C59" s="42">
        <f>+B59/$B$14</f>
        <v>5.3885866666666664E-2</v>
      </c>
      <c r="D59" s="42">
        <f>+G59/B59</f>
        <v>0.41804076434802118</v>
      </c>
      <c r="E59" s="43"/>
      <c r="F59" s="44">
        <f t="shared" ref="F59:F60" si="4">+B59/12*6</f>
        <v>6062.16</v>
      </c>
      <c r="G59" s="37">
        <f>((((((G52)+(G53))+(G54))+(G55))+(G56))+(G57))+(G58)</f>
        <v>5068.46</v>
      </c>
      <c r="H59" s="42">
        <f>+G59/F59</f>
        <v>0.83608152869604235</v>
      </c>
    </row>
    <row r="60" spans="1:8" x14ac:dyDescent="0.2">
      <c r="A60" s="45" t="s">
        <v>36</v>
      </c>
      <c r="B60" s="46">
        <f>46470*1.04</f>
        <v>48328.800000000003</v>
      </c>
      <c r="C60" s="67">
        <f>+B60/$B$14</f>
        <v>0.21479466666666669</v>
      </c>
      <c r="D60" s="47">
        <f>+G60/B60</f>
        <v>0.48076426478621437</v>
      </c>
      <c r="E60" s="48"/>
      <c r="F60" s="49">
        <f t="shared" si="4"/>
        <v>24164.400000000001</v>
      </c>
      <c r="G60" s="50">
        <f>23234.76</f>
        <v>23234.76</v>
      </c>
      <c r="H60" s="47">
        <f>+G60/F60</f>
        <v>0.96152852957242874</v>
      </c>
    </row>
    <row r="61" spans="1:8" s="10" customFormat="1" x14ac:dyDescent="0.2">
      <c r="A61" s="1" t="s">
        <v>37</v>
      </c>
      <c r="B61" s="3">
        <f>SUM(B59:B60)</f>
        <v>60453.120000000003</v>
      </c>
      <c r="C61" s="9">
        <f>+B61/$B$14</f>
        <v>0.26868053333333336</v>
      </c>
      <c r="D61" s="9">
        <f>+G61/B61</f>
        <v>0.46818460320989219</v>
      </c>
      <c r="E61" s="6"/>
      <c r="F61" s="3">
        <f>SUM(F59:F60)</f>
        <v>30226.560000000001</v>
      </c>
      <c r="G61" s="34">
        <f>((G51)+(G59))+(G60)</f>
        <v>28303.219999999998</v>
      </c>
      <c r="H61" s="9">
        <f>+G61/F61</f>
        <v>0.93636920641978438</v>
      </c>
    </row>
    <row r="62" spans="1:8" x14ac:dyDescent="0.2">
      <c r="A62" s="1"/>
      <c r="C62" s="8"/>
      <c r="E62" s="7"/>
      <c r="F62" s="4"/>
      <c r="G62" s="34"/>
      <c r="H62" s="8"/>
    </row>
    <row r="63" spans="1:8" x14ac:dyDescent="0.2">
      <c r="A63" s="1" t="s">
        <v>38</v>
      </c>
      <c r="C63" s="8"/>
      <c r="E63" s="7"/>
      <c r="F63" s="4"/>
      <c r="G63" s="30"/>
      <c r="H63" s="8"/>
    </row>
    <row r="64" spans="1:8" x14ac:dyDescent="0.2">
      <c r="A64" s="1" t="s">
        <v>68</v>
      </c>
      <c r="B64" s="4">
        <f>1959*1.04</f>
        <v>2037.3600000000001</v>
      </c>
      <c r="C64" s="8"/>
      <c r="E64" s="7"/>
      <c r="F64" s="4"/>
      <c r="G64" s="30"/>
      <c r="H64" s="8"/>
    </row>
    <row r="65" spans="1:9" x14ac:dyDescent="0.2">
      <c r="A65" s="1" t="s">
        <v>39</v>
      </c>
      <c r="B65" s="4">
        <f>23040*1.04</f>
        <v>23961.600000000002</v>
      </c>
      <c r="C65" s="8"/>
      <c r="E65" s="7"/>
      <c r="F65" s="4"/>
      <c r="G65" s="31">
        <f>5634</f>
        <v>5634</v>
      </c>
      <c r="H65" s="8"/>
    </row>
    <row r="66" spans="1:9" x14ac:dyDescent="0.2">
      <c r="A66" s="1" t="s">
        <v>69</v>
      </c>
      <c r="B66" s="4">
        <f>1565*1.04</f>
        <v>1627.6000000000001</v>
      </c>
      <c r="C66" s="8"/>
      <c r="E66" s="7"/>
      <c r="F66" s="4"/>
      <c r="G66" s="31"/>
      <c r="H66" s="8"/>
    </row>
    <row r="67" spans="1:9" x14ac:dyDescent="0.2">
      <c r="A67" s="19" t="s">
        <v>70</v>
      </c>
      <c r="B67" s="11">
        <f>352*1.04</f>
        <v>366.08000000000004</v>
      </c>
      <c r="C67" s="12"/>
      <c r="D67" s="12"/>
      <c r="E67" s="13"/>
      <c r="F67" s="11"/>
      <c r="G67" s="32"/>
      <c r="H67" s="12"/>
    </row>
    <row r="68" spans="1:9" s="10" customFormat="1" x14ac:dyDescent="0.2">
      <c r="A68" s="40" t="s">
        <v>40</v>
      </c>
      <c r="B68" s="41">
        <f>SUM(B64:B67)</f>
        <v>27992.640000000003</v>
      </c>
      <c r="C68" s="42">
        <f>+B68/$B$14</f>
        <v>0.12441173333333334</v>
      </c>
      <c r="D68" s="42">
        <f>+G68/B68</f>
        <v>0.20126719023286119</v>
      </c>
      <c r="E68" s="43"/>
      <c r="F68" s="44">
        <f t="shared" ref="F68:F70" si="5">+B68/12*6</f>
        <v>13996.320000000002</v>
      </c>
      <c r="G68" s="37">
        <f>SUM(G64:G67)</f>
        <v>5634</v>
      </c>
      <c r="H68" s="42">
        <f>+G68/F68</f>
        <v>0.40253438046572237</v>
      </c>
    </row>
    <row r="69" spans="1:9" x14ac:dyDescent="0.2">
      <c r="A69" s="1"/>
      <c r="C69" s="8"/>
      <c r="E69" s="7"/>
      <c r="F69" s="4"/>
      <c r="G69" s="34"/>
      <c r="H69" s="8"/>
    </row>
    <row r="70" spans="1:9" ht="16" thickBot="1" x14ac:dyDescent="0.25">
      <c r="A70" s="51" t="s">
        <v>52</v>
      </c>
      <c r="B70" s="52">
        <f>B49+B61+B68</f>
        <v>137584.6</v>
      </c>
      <c r="C70" s="53">
        <f>B70/$B$14</f>
        <v>0.61148711111111109</v>
      </c>
      <c r="D70" s="53">
        <f t="shared" ref="D70" si="6">+G70/B70</f>
        <v>0.4847937196459487</v>
      </c>
      <c r="E70" s="54"/>
      <c r="F70" s="55">
        <f t="shared" si="5"/>
        <v>68792.3</v>
      </c>
      <c r="G70" s="56">
        <f>+G68+G61+G49+G30+G19</f>
        <v>66700.149999999994</v>
      </c>
      <c r="H70" s="53">
        <f t="shared" ref="H70" si="7">+G70/F70</f>
        <v>0.96958743929189739</v>
      </c>
    </row>
    <row r="71" spans="1:9" ht="31" x14ac:dyDescent="0.2">
      <c r="A71" s="57" t="s">
        <v>53</v>
      </c>
      <c r="B71" s="58">
        <f>+B14-B70</f>
        <v>87415.4</v>
      </c>
      <c r="C71" s="59"/>
      <c r="D71" s="59"/>
      <c r="E71" s="60"/>
      <c r="F71" s="61"/>
      <c r="G71" s="62">
        <f>+G14-G70</f>
        <v>22411.51999999999</v>
      </c>
      <c r="H71" s="59"/>
    </row>
    <row r="72" spans="1:9" x14ac:dyDescent="0.2">
      <c r="A72" s="1"/>
      <c r="C72" s="8"/>
      <c r="E72" s="7"/>
      <c r="F72" s="4"/>
      <c r="G72" s="34"/>
      <c r="H72" s="8"/>
    </row>
    <row r="73" spans="1:9" x14ac:dyDescent="0.2">
      <c r="A73" s="1" t="s">
        <v>41</v>
      </c>
      <c r="C73" s="8"/>
      <c r="E73" s="7"/>
      <c r="F73" s="4"/>
      <c r="G73" s="30"/>
      <c r="H73" s="8"/>
    </row>
    <row r="74" spans="1:9" x14ac:dyDescent="0.2">
      <c r="A74" s="1" t="s">
        <v>80</v>
      </c>
      <c r="B74" s="4">
        <v>62581</v>
      </c>
      <c r="C74" s="8"/>
      <c r="E74" s="7"/>
      <c r="F74" s="4"/>
      <c r="G74" s="30"/>
      <c r="H74" s="8"/>
      <c r="I74" s="5" t="s">
        <v>90</v>
      </c>
    </row>
    <row r="75" spans="1:9" x14ac:dyDescent="0.2">
      <c r="A75" s="1" t="s">
        <v>42</v>
      </c>
      <c r="B75" s="4">
        <v>0</v>
      </c>
      <c r="C75" s="8"/>
      <c r="E75" s="7"/>
      <c r="F75" s="4"/>
      <c r="G75" s="31">
        <f>10625.11</f>
        <v>10625.11</v>
      </c>
      <c r="H75" s="8"/>
    </row>
    <row r="76" spans="1:9" x14ac:dyDescent="0.2">
      <c r="A76" s="1" t="s">
        <v>43</v>
      </c>
      <c r="B76" s="4">
        <v>0</v>
      </c>
      <c r="C76" s="8"/>
      <c r="E76" s="7"/>
      <c r="F76" s="4"/>
      <c r="G76" s="31">
        <f>1535</f>
        <v>1535</v>
      </c>
      <c r="H76" s="8"/>
    </row>
    <row r="77" spans="1:9" x14ac:dyDescent="0.2">
      <c r="A77" s="19" t="s">
        <v>44</v>
      </c>
      <c r="B77" s="11">
        <v>0</v>
      </c>
      <c r="C77" s="12"/>
      <c r="D77" s="12"/>
      <c r="E77" s="13"/>
      <c r="F77" s="11">
        <f t="shared" ref="F77" si="8">+B77/12*6</f>
        <v>0</v>
      </c>
      <c r="G77" s="32">
        <f>246.9</f>
        <v>246.9</v>
      </c>
      <c r="H77" s="12"/>
    </row>
    <row r="78" spans="1:9" s="10" customFormat="1" x14ac:dyDescent="0.2">
      <c r="A78" s="1" t="s">
        <v>45</v>
      </c>
      <c r="B78" s="3">
        <f>SUM(B74:B77)</f>
        <v>62581</v>
      </c>
      <c r="C78" s="9">
        <f>B78/$B$14</f>
        <v>0.27813777777777776</v>
      </c>
      <c r="D78" s="9">
        <f>+G78/B78</f>
        <v>0.19825522123328168</v>
      </c>
      <c r="E78" s="6"/>
      <c r="F78" s="3">
        <f>SUM(F75:F77)</f>
        <v>0</v>
      </c>
      <c r="G78" s="34">
        <f>(((G73)+(G75))+(G76))+(G77)</f>
        <v>12407.01</v>
      </c>
      <c r="H78" s="9" t="e">
        <f>+G78/F78</f>
        <v>#DIV/0!</v>
      </c>
    </row>
    <row r="79" spans="1:9" x14ac:dyDescent="0.2">
      <c r="A79" s="1"/>
      <c r="C79" s="8"/>
      <c r="E79" s="7"/>
      <c r="F79" s="4"/>
      <c r="G79" s="30"/>
      <c r="H79" s="8"/>
    </row>
    <row r="80" spans="1:9" ht="31" x14ac:dyDescent="0.2">
      <c r="A80" s="57" t="s">
        <v>55</v>
      </c>
      <c r="B80" s="58">
        <f>+B71-B78</f>
        <v>24834.399999999994</v>
      </c>
      <c r="C80" s="63"/>
      <c r="D80" s="63"/>
      <c r="E80" s="60"/>
      <c r="F80" s="61"/>
      <c r="G80" s="64">
        <f>+G71-G78</f>
        <v>10004.509999999989</v>
      </c>
      <c r="H80" s="63"/>
    </row>
    <row r="81" spans="1:10" x14ac:dyDescent="0.2">
      <c r="C81" s="8"/>
      <c r="E81" s="7"/>
      <c r="F81" s="4"/>
      <c r="G81" s="38"/>
      <c r="H81" s="8"/>
    </row>
    <row r="82" spans="1:10" x14ac:dyDescent="0.2">
      <c r="A82" s="1" t="s">
        <v>56</v>
      </c>
      <c r="B82" s="4">
        <v>7000</v>
      </c>
      <c r="C82" s="9">
        <f>+B82/$B$14</f>
        <v>3.111111111111111E-2</v>
      </c>
      <c r="E82" s="7"/>
      <c r="F82" s="4"/>
      <c r="G82" s="38"/>
      <c r="H82" s="8"/>
      <c r="I82" s="73" t="s">
        <v>89</v>
      </c>
      <c r="J82" s="69"/>
    </row>
    <row r="83" spans="1:10" s="10" customFormat="1" x14ac:dyDescent="0.2">
      <c r="A83" s="1" t="s">
        <v>83</v>
      </c>
      <c r="B83" s="4">
        <v>15000</v>
      </c>
      <c r="C83" s="9">
        <f>+B83/$B$14</f>
        <v>6.6666666666666666E-2</v>
      </c>
      <c r="D83" s="9">
        <f>+G83/B83</f>
        <v>0.48046666666666665</v>
      </c>
      <c r="E83" s="6"/>
      <c r="F83" s="3">
        <f>+B83/12*6</f>
        <v>7500</v>
      </c>
      <c r="G83" s="39">
        <v>7207</v>
      </c>
      <c r="H83" s="9">
        <f>+G83/F83</f>
        <v>0.96093333333333331</v>
      </c>
    </row>
    <row r="84" spans="1:10" x14ac:dyDescent="0.2">
      <c r="C84" s="8"/>
      <c r="E84" s="7"/>
      <c r="F84" s="4"/>
      <c r="G84" s="38"/>
      <c r="H84" s="8"/>
    </row>
    <row r="85" spans="1:10" ht="31" x14ac:dyDescent="0.2">
      <c r="A85" s="57" t="s">
        <v>71</v>
      </c>
      <c r="B85" s="58">
        <f>B80-B82-B83</f>
        <v>2834.3999999999942</v>
      </c>
      <c r="C85" s="63"/>
      <c r="D85" s="63"/>
      <c r="E85" s="65"/>
      <c r="F85" s="58"/>
      <c r="G85" s="66">
        <f>+G80-G83</f>
        <v>2797.5099999999893</v>
      </c>
      <c r="H85" s="59"/>
      <c r="I85" s="72" t="s">
        <v>88</v>
      </c>
    </row>
    <row r="88" spans="1:10" x14ac:dyDescent="0.2">
      <c r="A88" t="s">
        <v>72</v>
      </c>
      <c r="B88" s="8"/>
      <c r="C88" s="4">
        <f>((B9+B10)/25)/12</f>
        <v>750</v>
      </c>
      <c r="D88" s="4">
        <v>537</v>
      </c>
    </row>
    <row r="89" spans="1:10" x14ac:dyDescent="0.2">
      <c r="A89" t="s">
        <v>73</v>
      </c>
      <c r="B89" s="8">
        <f>C19</f>
        <v>0.10233706666666667</v>
      </c>
      <c r="C89" s="4">
        <f t="shared" ref="C89:C95" si="9">$C$88*B89</f>
        <v>76.752800000000008</v>
      </c>
      <c r="D89" s="4"/>
    </row>
    <row r="90" spans="1:10" x14ac:dyDescent="0.2">
      <c r="A90" t="s">
        <v>74</v>
      </c>
      <c r="B90" s="8">
        <f>C30</f>
        <v>2.9995555555555557E-2</v>
      </c>
      <c r="C90" s="4">
        <f t="shared" si="9"/>
        <v>22.496666666666666</v>
      </c>
      <c r="D90" s="4">
        <f>+D88*B90</f>
        <v>16.107613333333333</v>
      </c>
    </row>
    <row r="91" spans="1:10" x14ac:dyDescent="0.2">
      <c r="A91" t="s">
        <v>75</v>
      </c>
      <c r="B91" s="8">
        <f>C49</f>
        <v>0.21839484444444443</v>
      </c>
      <c r="C91" s="4">
        <f t="shared" si="9"/>
        <v>163.79613333333333</v>
      </c>
      <c r="D91" s="4">
        <f>+D88*B91</f>
        <v>117.27803146666666</v>
      </c>
    </row>
    <row r="92" spans="1:10" x14ac:dyDescent="0.2">
      <c r="A92" t="s">
        <v>76</v>
      </c>
      <c r="B92" s="8">
        <f>C61</f>
        <v>0.26868053333333336</v>
      </c>
      <c r="C92" s="4">
        <f t="shared" si="9"/>
        <v>201.51040000000003</v>
      </c>
      <c r="D92" s="4">
        <f>+D88*B92</f>
        <v>144.28144640000002</v>
      </c>
    </row>
    <row r="93" spans="1:10" x14ac:dyDescent="0.2">
      <c r="A93" t="s">
        <v>77</v>
      </c>
      <c r="B93" s="8">
        <f>C68</f>
        <v>0.12441173333333334</v>
      </c>
      <c r="C93" s="4">
        <f t="shared" si="9"/>
        <v>93.308800000000005</v>
      </c>
      <c r="D93" s="4">
        <f>+D88*B93</f>
        <v>66.80910080000001</v>
      </c>
    </row>
    <row r="94" spans="1:10" x14ac:dyDescent="0.2">
      <c r="A94" t="s">
        <v>82</v>
      </c>
      <c r="B94" s="8">
        <f>C78</f>
        <v>0.27813777777777776</v>
      </c>
      <c r="C94" s="4">
        <f t="shared" si="9"/>
        <v>208.60333333333332</v>
      </c>
      <c r="D94" s="4">
        <f>+D88*B94</f>
        <v>149.35998666666666</v>
      </c>
    </row>
    <row r="95" spans="1:10" x14ac:dyDescent="0.2">
      <c r="A95" t="s">
        <v>81</v>
      </c>
      <c r="B95" s="8">
        <f>+C82</f>
        <v>3.111111111111111E-2</v>
      </c>
      <c r="C95" s="4">
        <f t="shared" si="9"/>
        <v>23.333333333333332</v>
      </c>
      <c r="D95" s="4"/>
    </row>
    <row r="96" spans="1:10" x14ac:dyDescent="0.2">
      <c r="B96" s="8">
        <f>SUM(B90:B95)</f>
        <v>0.95073155555555555</v>
      </c>
      <c r="C96" s="4">
        <f>SUM(C90:C95)</f>
        <v>713.0486666666668</v>
      </c>
      <c r="D96" s="3">
        <f>SUM(D90:D94)</f>
        <v>493.83617866666668</v>
      </c>
      <c r="I96" s="69"/>
    </row>
    <row r="97" spans="4:4" x14ac:dyDescent="0.2">
      <c r="D97" s="8">
        <v>0.13</v>
      </c>
    </row>
  </sheetData>
  <mergeCells count="3">
    <mergeCell ref="A1:H1"/>
    <mergeCell ref="A2:H2"/>
    <mergeCell ref="A3:H3"/>
  </mergeCells>
  <pageMargins left="0.7" right="0.7" top="0.75" bottom="0.75" header="0.3" footer="0.3"/>
  <pageSetup scale="83" fitToHeight="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C3D4-B776-6C46-8BE2-32C9CBF08577}">
  <dimension ref="A1:B8"/>
  <sheetViews>
    <sheetView workbookViewId="0">
      <selection sqref="A1:B8"/>
    </sheetView>
  </sheetViews>
  <sheetFormatPr baseColWidth="10" defaultRowHeight="15" x14ac:dyDescent="0.2"/>
  <cols>
    <col min="1" max="1" width="86.83203125" customWidth="1"/>
  </cols>
  <sheetData>
    <row r="1" spans="1:2" x14ac:dyDescent="0.2">
      <c r="A1" t="s">
        <v>91</v>
      </c>
    </row>
    <row r="2" spans="1:2" ht="17" x14ac:dyDescent="0.2">
      <c r="A2" s="74" t="s">
        <v>92</v>
      </c>
    </row>
    <row r="3" spans="1:2" ht="17" x14ac:dyDescent="0.2">
      <c r="A3" s="74" t="s">
        <v>93</v>
      </c>
    </row>
    <row r="4" spans="1:2" ht="51" x14ac:dyDescent="0.2">
      <c r="A4" s="74" t="s">
        <v>94</v>
      </c>
    </row>
    <row r="5" spans="1:2" ht="85" x14ac:dyDescent="0.2">
      <c r="A5" s="74" t="s">
        <v>95</v>
      </c>
    </row>
    <row r="6" spans="1:2" ht="68" x14ac:dyDescent="0.2">
      <c r="A6" s="74" t="s">
        <v>96</v>
      </c>
    </row>
    <row r="8" spans="1:2" ht="17" x14ac:dyDescent="0.2">
      <c r="A8" s="74" t="s">
        <v>97</v>
      </c>
      <c r="B8" s="75">
        <v>62581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to Actual</vt:lpstr>
      <vt:lpstr>2025 Maintenance Budget </vt:lpstr>
      <vt:lpstr>'Budget to Actual'!Print_Area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 Vise</cp:lastModifiedBy>
  <cp:lastPrinted>2024-07-25T20:41:39Z</cp:lastPrinted>
  <dcterms:created xsi:type="dcterms:W3CDTF">2024-07-18T22:38:57Z</dcterms:created>
  <dcterms:modified xsi:type="dcterms:W3CDTF">2024-11-12T20:43:09Z</dcterms:modified>
</cp:coreProperties>
</file>